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BorA\F-plan\F-plan\2024-2026\"/>
    </mc:Choice>
  </mc:AlternateContent>
  <xr:revisionPtr revIDLastSave="0" documentId="13_ncr:1_{08DC3989-C49D-4D71-A625-6BEF4AC118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EDLOŽAK" sheetId="7" r:id="rId1"/>
  </sheets>
  <definedNames>
    <definedName name="_xlnm.Print_Titles" localSheetId="0">PREDLOŽAK!$10:$10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7" l="1"/>
  <c r="F66" i="7"/>
  <c r="G62" i="7" l="1"/>
  <c r="F58" i="7"/>
  <c r="E62" i="7"/>
  <c r="E51" i="7"/>
  <c r="G47" i="7"/>
  <c r="F47" i="7"/>
  <c r="E47" i="7"/>
  <c r="G35" i="7"/>
  <c r="D58" i="7"/>
  <c r="G58" i="7"/>
  <c r="E58" i="7"/>
  <c r="F68" i="7"/>
  <c r="G68" i="7"/>
  <c r="E68" i="7"/>
  <c r="F70" i="7"/>
  <c r="G70" i="7"/>
  <c r="E70" i="7"/>
  <c r="D70" i="7"/>
  <c r="C29" i="7" l="1"/>
  <c r="C35" i="7"/>
  <c r="C33" i="7"/>
  <c r="C32" i="7"/>
  <c r="C31" i="7"/>
  <c r="C30" i="7"/>
  <c r="C23" i="7"/>
  <c r="C27" i="7"/>
  <c r="C25" i="7"/>
  <c r="C24" i="7"/>
  <c r="D75" i="7" l="1"/>
  <c r="C79" i="7"/>
  <c r="C75" i="7"/>
  <c r="C70" i="7"/>
  <c r="C68" i="7"/>
  <c r="C62" i="7"/>
  <c r="C58" i="7"/>
  <c r="C47" i="7"/>
  <c r="C51" i="7"/>
  <c r="D39" i="7"/>
  <c r="D35" i="7"/>
  <c r="D32" i="7"/>
  <c r="D31" i="7"/>
  <c r="D30" i="7"/>
  <c r="D29" i="7"/>
  <c r="D11" i="7"/>
  <c r="D27" i="7"/>
  <c r="D25" i="7"/>
  <c r="D24" i="7"/>
  <c r="D51" i="7"/>
  <c r="D47" i="7"/>
  <c r="G79" i="7"/>
  <c r="F79" i="7"/>
  <c r="E79" i="7"/>
  <c r="D79" i="7"/>
  <c r="D68" i="7"/>
  <c r="D62" i="7"/>
  <c r="G51" i="7"/>
  <c r="F39" i="7"/>
  <c r="G39" i="7"/>
  <c r="E39" i="7"/>
  <c r="E49" i="7" l="1"/>
  <c r="F27" i="7"/>
  <c r="G27" i="7"/>
  <c r="E27" i="7"/>
  <c r="E59" i="7" l="1"/>
  <c r="G61" i="7"/>
  <c r="F61" i="7"/>
  <c r="F62" i="7" s="1"/>
  <c r="E61" i="7"/>
  <c r="E55" i="7"/>
  <c r="G54" i="7"/>
  <c r="F54" i="7"/>
  <c r="E54" i="7"/>
  <c r="G53" i="7"/>
  <c r="F53" i="7"/>
  <c r="E53" i="7"/>
  <c r="F49" i="7"/>
  <c r="F51" i="7" s="1"/>
  <c r="G43" i="7"/>
  <c r="F43" i="7"/>
  <c r="E43" i="7"/>
  <c r="G42" i="7"/>
  <c r="F42" i="7"/>
  <c r="E42" i="7"/>
  <c r="G41" i="7"/>
  <c r="F41" i="7"/>
  <c r="E41" i="7"/>
  <c r="F31" i="7"/>
  <c r="G31" i="7"/>
  <c r="E31" i="7"/>
  <c r="G30" i="7"/>
  <c r="F30" i="7"/>
  <c r="F35" i="7" s="1"/>
  <c r="E30" i="7"/>
  <c r="E35" i="7" l="1"/>
</calcChain>
</file>

<file path=xl/sharedStrings.xml><?xml version="1.0" encoding="utf-8"?>
<sst xmlns="http://schemas.openxmlformats.org/spreadsheetml/2006/main" count="125" uniqueCount="52">
  <si>
    <t>Opći prihodi i primici</t>
  </si>
  <si>
    <t>A621004</t>
  </si>
  <si>
    <t>REDOVNA DJELATNOST SVEUČILIŠTA U SPLITU</t>
  </si>
  <si>
    <t>A622122</t>
  </si>
  <si>
    <t>PROGRAMSKO FINANCIRANJE JAVNIH VISOKIH UČILIŠTA</t>
  </si>
  <si>
    <t>Ostali prihodi za posebne namjene</t>
  </si>
  <si>
    <t>Pomoći EU</t>
  </si>
  <si>
    <t>Ostale pomoći</t>
  </si>
  <si>
    <t>Donacije</t>
  </si>
  <si>
    <t>31</t>
  </si>
  <si>
    <t>Vlastiti prihodi</t>
  </si>
  <si>
    <t>A679077</t>
  </si>
  <si>
    <t>EU PROJEKTI SVEUČILIŠTA U SPLITU (IZ EVIDENCIJSKIH PRIHODA)</t>
  </si>
  <si>
    <t>A679091</t>
  </si>
  <si>
    <t>32</t>
  </si>
  <si>
    <t>34</t>
  </si>
  <si>
    <t>37</t>
  </si>
  <si>
    <t>41</t>
  </si>
  <si>
    <t>42</t>
  </si>
  <si>
    <t>38</t>
  </si>
  <si>
    <t>45</t>
  </si>
  <si>
    <t>II. POSEBNI DIO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</si>
  <si>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</si>
  <si>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</si>
  <si>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</si>
  <si>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</si>
  <si>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</si>
  <si>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</si>
  <si>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</si>
  <si>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Ostali rashodi</t>
  </si>
  <si>
    <t>Rashodi za nabavu neproizvedene dugotrajne imovine</t>
  </si>
  <si>
    <t>3705</t>
  </si>
  <si>
    <t>VISOKO OBRAZOVANJE</t>
  </si>
  <si>
    <t>61</t>
  </si>
  <si>
    <t>IZVRŠENJE
2022.</t>
  </si>
  <si>
    <t>TEKUĆI PLAN
2023.</t>
  </si>
  <si>
    <t>PLAN 
ZA 2024.</t>
  </si>
  <si>
    <t>PROJEKCIJA 
ZA 2025.</t>
  </si>
  <si>
    <t>PROJEKCIJA 
ZA 2026.</t>
  </si>
  <si>
    <t>RKP - NAZIV PRORAČUNSKOG KORISNIKA: 22460 POMORSKI FAKULTET</t>
  </si>
  <si>
    <t>MJESTO I DATUM: Split, 04.10.2023.</t>
  </si>
  <si>
    <t>OSOBA ZA KONTAKTIRANJE: Ana Borzić, 021 619-491: aborzic@pfst.hr</t>
  </si>
  <si>
    <t>FINANCIJSKI PLAN 
ZA 2024. I PROJEKCIJE ZA 2025. i 2026. GODINU</t>
  </si>
  <si>
    <t>REDOVNA DJELATNOST SVEUČILIŠTA U SPLITU 
(IZ EVIDENCIJSKIH PRIHODA)</t>
  </si>
  <si>
    <t>Prihodi za posebne namjene</t>
  </si>
  <si>
    <t>SVEUČILIŠTE U SPLITU,
POMORSKI FAKULTET</t>
  </si>
  <si>
    <t>Rashodi poslovanja</t>
  </si>
  <si>
    <t>Rashodi za nabavu nefinancijske imovine</t>
  </si>
  <si>
    <t>Vlastiti prihodi - višak</t>
  </si>
  <si>
    <t>Prihodi za posebne namjene - višak</t>
  </si>
  <si>
    <t>Ostale pomoći - višak</t>
  </si>
  <si>
    <t>Donacije -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</si>
</sst>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3" fillId="21" borderId="4" applyProtection="0">
      <alignment vertical="center"/>
    </xf>
    <xf numFmtId="4" fontId="13" fillId="21" borderId="4" applyNumberFormat="0" applyProtection="0">
      <alignment horizontal="left" vertical="center" indent="1"/>
    </xf>
    <xf numFmtId="4" fontId="13" fillId="22" borderId="4" applyNumberFormat="0" applyProtection="0">
      <alignment horizontal="right" vertical="center"/>
    </xf>
    <xf numFmtId="4" fontId="13" fillId="5" borderId="4" applyNumberFormat="0" applyProtection="0">
      <alignment horizontal="left" vertical="center" indent="1"/>
    </xf>
    <xf numFmtId="4" fontId="13" fillId="23" borderId="4" applyNumberFormat="0" applyProtection="0">
      <alignment vertical="center"/>
    </xf>
    <xf numFmtId="0" fontId="13" fillId="24" borderId="4" applyNumberFormat="0" applyProtection="0">
      <alignment horizontal="left" vertical="center" indent="1"/>
    </xf>
    <xf numFmtId="0" fontId="13" fillId="25" borderId="4" applyNumberFormat="0" applyProtection="0">
      <alignment horizontal="left" vertical="center" indent="1"/>
    </xf>
    <xf numFmtId="0" fontId="13" fillId="2" borderId="4" applyNumberFormat="0" applyProtection="0">
      <alignment horizontal="left" vertical="center" wrapText="1" indent="1"/>
    </xf>
    <xf numFmtId="0" fontId="13" fillId="26" borderId="4" applyNumberFormat="0" applyProtection="0">
      <alignment horizontal="left" vertical="center" indent="1"/>
    </xf>
    <xf numFmtId="4" fontId="13" fillId="0" borderId="4" applyNumberFormat="0" applyProtection="0">
      <alignment horizontal="right" vertical="center"/>
    </xf>
  </cellStyleXfs>
  <cellXfs count="34">
    <xf numFmtId="0" fontId="0" fillId="0" borderId="0" xfId="0"/>
    <xf numFmtId="0" fontId="13" fillId="0" borderId="4" xfId="49" quotePrefix="1" applyFill="1">
      <alignment horizontal="left" vertical="center" indent="1"/>
    </xf>
    <xf numFmtId="0" fontId="13" fillId="0" borderId="4" xfId="49" quotePrefix="1" applyFill="1" applyAlignment="1">
      <alignment horizontal="left" vertical="center" indent="7"/>
    </xf>
    <xf numFmtId="3" fontId="13" fillId="0" borderId="4" xfId="50" applyNumberFormat="1" applyFill="1">
      <alignment horizontal="right" vertical="center"/>
    </xf>
    <xf numFmtId="0" fontId="14" fillId="0" borderId="3" xfId="0" quotePrefix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3" fillId="0" borderId="4" xfId="49" quotePrefix="1" applyFill="1" applyAlignment="1">
      <alignment horizontal="left" vertical="center" indent="9"/>
    </xf>
    <xf numFmtId="0" fontId="16" fillId="0" borderId="4" xfId="49" quotePrefix="1" applyFont="1" applyFill="1" applyAlignment="1">
      <alignment horizontal="left" vertical="center" indent="5"/>
    </xf>
    <xf numFmtId="0" fontId="16" fillId="0" borderId="4" xfId="49" quotePrefix="1" applyFont="1" applyFill="1">
      <alignment horizontal="left" vertical="center" indent="1"/>
    </xf>
    <xf numFmtId="3" fontId="0" fillId="0" borderId="0" xfId="0" applyNumberFormat="1" applyFill="1"/>
    <xf numFmtId="0" fontId="13" fillId="27" borderId="4" xfId="49" quotePrefix="1" applyFill="1" applyAlignment="1">
      <alignment horizontal="left" vertical="center" indent="7"/>
    </xf>
    <xf numFmtId="0" fontId="13" fillId="27" borderId="4" xfId="49" quotePrefix="1" applyFill="1">
      <alignment horizontal="left" vertical="center" indent="1"/>
    </xf>
    <xf numFmtId="3" fontId="13" fillId="27" borderId="4" xfId="50" applyNumberFormat="1" applyFill="1">
      <alignment horizontal="right" vertical="center"/>
    </xf>
    <xf numFmtId="0" fontId="1" fillId="28" borderId="5" xfId="6" quotePrefix="1" applyFont="1" applyFill="1" applyBorder="1" applyAlignment="1">
      <alignment horizontal="left" vertical="center" indent="4"/>
    </xf>
    <xf numFmtId="0" fontId="1" fillId="28" borderId="5" xfId="6" quotePrefix="1" applyFont="1" applyFill="1" applyBorder="1" applyAlignment="1">
      <alignment horizontal="left" vertical="center" indent="1"/>
    </xf>
    <xf numFmtId="0" fontId="16" fillId="28" borderId="4" xfId="49" quotePrefix="1" applyFont="1" applyFill="1" applyAlignment="1">
      <alignment horizontal="left" vertical="center" indent="5"/>
    </xf>
    <xf numFmtId="0" fontId="16" fillId="28" borderId="4" xfId="49" quotePrefix="1" applyFont="1" applyFill="1">
      <alignment horizontal="left" vertical="center" indent="1"/>
    </xf>
    <xf numFmtId="0" fontId="16" fillId="0" borderId="4" xfId="49" quotePrefix="1" applyFont="1" applyFill="1" applyAlignment="1">
      <alignment horizontal="left" vertical="center" wrapText="1" indent="1"/>
    </xf>
    <xf numFmtId="3" fontId="13" fillId="29" borderId="4" xfId="50" applyNumberFormat="1" applyFill="1">
      <alignment horizontal="right" vertical="center"/>
    </xf>
    <xf numFmtId="0" fontId="14" fillId="0" borderId="3" xfId="0" quotePrefix="1" applyFont="1" applyFill="1" applyBorder="1" applyAlignment="1">
      <alignment horizontal="left" vertical="center" wrapText="1"/>
    </xf>
    <xf numFmtId="0" fontId="16" fillId="0" borderId="4" xfId="49" quotePrefix="1" applyFont="1" applyFill="1" applyAlignment="1">
      <alignment horizontal="right" vertical="center"/>
    </xf>
    <xf numFmtId="0" fontId="16" fillId="29" borderId="4" xfId="49" quotePrefix="1" applyFont="1" applyFill="1">
      <alignment horizontal="left" vertical="center" indent="1"/>
    </xf>
    <xf numFmtId="3" fontId="0" fillId="0" borderId="0" xfId="0" applyNumberFormat="1"/>
    <xf numFmtId="3" fontId="16" fillId="27" borderId="4" xfId="50" applyNumberFormat="1" applyFont="1" applyFill="1">
      <alignment horizontal="right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5" fillId="0" borderId="0" xfId="0" applyFont="1" applyFill="1" applyAlignment="1">
      <alignment horizontal="center" wrapText="1"/>
    </xf>
    <xf numFmtId="0" fontId="0" fillId="0" borderId="0" xfId="0" applyAlignment="1"/>
    <xf numFmtId="3" fontId="13" fillId="0" borderId="6" xfId="50" applyNumberForma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" fontId="13" fillId="28" borderId="6" xfId="50" applyNumberFormat="1" applyFill="1" applyBorder="1" applyAlignment="1">
      <alignment horizontal="right" vertical="center"/>
    </xf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9"/>
  <sheetViews>
    <sheetView tabSelected="1" workbookViewId="0">
      <pane xSplit="2" ySplit="10" topLeftCell="C71" activePane="bottomRight" state="frozen"/>
      <selection pane="topRight" activeCell="C1" sqref="C1"/>
      <selection pane="bottomLeft" activeCell="A3" sqref="A3"/>
      <selection pane="bottomRight" activeCell="A82" sqref="A82"/>
    </sheetView>
  </sheetViews>
  <sheetFormatPr defaultRowHeight="15" x14ac:dyDescent="0.25"/>
  <cols>
    <col min="1" max="1" width="17.28515625" style="6" customWidth="1"/>
    <col min="2" max="2" width="51.42578125" style="6" customWidth="1"/>
    <col min="3" max="7" width="13.28515625" style="6" customWidth="1"/>
    <col min="8" max="9" width="9.140625" style="6"/>
    <col min="10" max="10" width="10" style="6" bestFit="1" customWidth="1"/>
    <col min="11" max="16384" width="9.140625" style="6"/>
  </cols>
  <sheetData>
    <row r="2" spans="1:9" x14ac:dyDescent="0.25">
      <c r="A2" s="6" t="s">
        <v>39</v>
      </c>
    </row>
    <row r="3" spans="1:9" x14ac:dyDescent="0.25">
      <c r="A3" s="6" t="s">
        <v>40</v>
      </c>
    </row>
    <row r="4" spans="1:9" x14ac:dyDescent="0.25">
      <c r="A4" s="6" t="s">
        <v>41</v>
      </c>
    </row>
    <row r="6" spans="1:9" ht="30" customHeight="1" x14ac:dyDescent="0.25">
      <c r="B6" s="25" t="s">
        <v>42</v>
      </c>
      <c r="C6" s="26"/>
      <c r="D6" s="26"/>
      <c r="E6" s="27"/>
      <c r="F6" s="27"/>
    </row>
    <row r="7" spans="1:9" ht="21.75" customHeight="1" x14ac:dyDescent="0.25">
      <c r="B7" s="28" t="s">
        <v>21</v>
      </c>
      <c r="C7" s="29"/>
      <c r="D7" s="29"/>
      <c r="E7" s="29"/>
      <c r="F7" s="29"/>
    </row>
    <row r="10" spans="1:9" ht="38.25" x14ac:dyDescent="0.25">
      <c r="A10" s="4">
        <v>22406</v>
      </c>
      <c r="B10" s="20" t="s">
        <v>45</v>
      </c>
      <c r="C10" s="4" t="s">
        <v>34</v>
      </c>
      <c r="D10" s="4" t="s">
        <v>35</v>
      </c>
      <c r="E10" s="5" t="s">
        <v>36</v>
      </c>
      <c r="F10" s="5" t="s">
        <v>37</v>
      </c>
      <c r="G10" s="5" t="s">
        <v>38</v>
      </c>
    </row>
    <row r="11" spans="1:9" x14ac:dyDescent="0.25">
      <c r="A11" s="2">
        <v>11</v>
      </c>
      <c r="B11" s="1" t="s">
        <v>0</v>
      </c>
      <c r="C11" s="3">
        <v>3413371</v>
      </c>
      <c r="D11" s="3">
        <f>D23+D29</f>
        <v>3772156</v>
      </c>
      <c r="E11" s="3">
        <v>4113869</v>
      </c>
      <c r="F11" s="3">
        <v>4132061</v>
      </c>
      <c r="G11" s="3">
        <v>4150345</v>
      </c>
    </row>
    <row r="12" spans="1:9" x14ac:dyDescent="0.25">
      <c r="A12" s="2">
        <v>31</v>
      </c>
      <c r="B12" s="1" t="s">
        <v>10</v>
      </c>
      <c r="C12" s="3">
        <v>553379</v>
      </c>
      <c r="D12" s="3">
        <v>407924</v>
      </c>
      <c r="E12" s="3">
        <v>534400</v>
      </c>
      <c r="F12" s="3">
        <v>552500</v>
      </c>
      <c r="G12" s="3">
        <v>552500</v>
      </c>
    </row>
    <row r="13" spans="1:9" x14ac:dyDescent="0.25">
      <c r="A13" s="2">
        <v>43</v>
      </c>
      <c r="B13" s="1" t="s">
        <v>5</v>
      </c>
      <c r="C13" s="3">
        <v>560559</v>
      </c>
      <c r="D13" s="3">
        <v>577344</v>
      </c>
      <c r="E13" s="3">
        <v>560559</v>
      </c>
      <c r="F13" s="3">
        <v>570000</v>
      </c>
      <c r="G13" s="3">
        <v>570000</v>
      </c>
    </row>
    <row r="14" spans="1:9" x14ac:dyDescent="0.25">
      <c r="A14" s="2">
        <v>51</v>
      </c>
      <c r="B14" s="1" t="s">
        <v>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I14" s="10"/>
    </row>
    <row r="15" spans="1:9" x14ac:dyDescent="0.25">
      <c r="A15" s="2">
        <v>52</v>
      </c>
      <c r="B15" s="1" t="s">
        <v>7</v>
      </c>
      <c r="C15" s="3">
        <v>100157</v>
      </c>
      <c r="D15" s="3">
        <v>20783</v>
      </c>
      <c r="E15" s="3">
        <v>35416</v>
      </c>
      <c r="F15" s="3">
        <v>43916</v>
      </c>
      <c r="G15" s="3">
        <v>0</v>
      </c>
    </row>
    <row r="16" spans="1:9" x14ac:dyDescent="0.25">
      <c r="A16" s="2">
        <v>61</v>
      </c>
      <c r="B16" s="1" t="s">
        <v>8</v>
      </c>
      <c r="C16" s="3">
        <v>26025</v>
      </c>
      <c r="D16" s="3">
        <v>31024</v>
      </c>
      <c r="E16" s="3">
        <v>0</v>
      </c>
      <c r="F16" s="3">
        <v>0</v>
      </c>
      <c r="G16" s="3">
        <v>0</v>
      </c>
    </row>
    <row r="17" spans="1:12" x14ac:dyDescent="0.25">
      <c r="A17" s="2">
        <v>93</v>
      </c>
      <c r="B17" s="1" t="s">
        <v>48</v>
      </c>
      <c r="C17" s="3">
        <v>212918.6</v>
      </c>
      <c r="D17" s="3">
        <v>212919</v>
      </c>
      <c r="E17" s="3">
        <v>212919</v>
      </c>
      <c r="F17" s="3">
        <v>124384</v>
      </c>
      <c r="G17" s="3">
        <v>292251</v>
      </c>
    </row>
    <row r="18" spans="1:12" x14ac:dyDescent="0.25">
      <c r="A18" s="2">
        <v>94</v>
      </c>
      <c r="B18" s="1" t="s">
        <v>49</v>
      </c>
      <c r="C18" s="3">
        <v>155953.68</v>
      </c>
      <c r="D18" s="3">
        <v>155954</v>
      </c>
      <c r="E18" s="3">
        <v>155954</v>
      </c>
      <c r="F18" s="3">
        <v>0</v>
      </c>
      <c r="G18" s="3">
        <v>0</v>
      </c>
    </row>
    <row r="19" spans="1:12" x14ac:dyDescent="0.25">
      <c r="A19" s="2">
        <v>95</v>
      </c>
      <c r="B19" s="1" t="s">
        <v>50</v>
      </c>
      <c r="C19" s="3">
        <v>106612.66</v>
      </c>
      <c r="D19" s="3">
        <v>137696</v>
      </c>
      <c r="E19" s="3">
        <v>137696</v>
      </c>
      <c r="F19" s="3">
        <v>149225</v>
      </c>
      <c r="G19" s="3">
        <v>168784</v>
      </c>
    </row>
    <row r="20" spans="1:12" x14ac:dyDescent="0.25">
      <c r="A20" s="2">
        <v>96</v>
      </c>
      <c r="B20" s="1" t="s">
        <v>51</v>
      </c>
      <c r="C20" s="3">
        <v>17483.52</v>
      </c>
      <c r="D20" s="3">
        <v>17484</v>
      </c>
      <c r="E20" s="3">
        <v>17484</v>
      </c>
      <c r="F20" s="3">
        <v>17484</v>
      </c>
      <c r="G20" s="3">
        <v>17484</v>
      </c>
    </row>
    <row r="21" spans="1:12" x14ac:dyDescent="0.25">
      <c r="A21" s="14" t="s">
        <v>31</v>
      </c>
      <c r="B21" s="15" t="s">
        <v>32</v>
      </c>
      <c r="C21" s="33"/>
      <c r="D21" s="31"/>
      <c r="E21" s="31"/>
      <c r="F21" s="31"/>
      <c r="G21" s="32"/>
    </row>
    <row r="22" spans="1:12" x14ac:dyDescent="0.25">
      <c r="A22" s="16" t="s">
        <v>1</v>
      </c>
      <c r="B22" s="17" t="s">
        <v>2</v>
      </c>
      <c r="C22" s="33"/>
      <c r="D22" s="31"/>
      <c r="E22" s="31"/>
      <c r="F22" s="31"/>
      <c r="G22" s="32"/>
    </row>
    <row r="23" spans="1:12" x14ac:dyDescent="0.25">
      <c r="A23" s="11">
        <v>11</v>
      </c>
      <c r="B23" s="12" t="s">
        <v>0</v>
      </c>
      <c r="C23" s="24">
        <f>22176233.07/7.5345</f>
        <v>2943291.9331077044</v>
      </c>
      <c r="D23" s="24">
        <v>3366764</v>
      </c>
      <c r="E23" s="24">
        <v>3695268</v>
      </c>
      <c r="F23" s="24">
        <v>3713460</v>
      </c>
      <c r="G23" s="24">
        <v>3731744</v>
      </c>
      <c r="H23"/>
      <c r="I23"/>
      <c r="J23"/>
      <c r="K23"/>
      <c r="L23" s="10"/>
    </row>
    <row r="24" spans="1:12" x14ac:dyDescent="0.25">
      <c r="A24" s="7" t="s">
        <v>9</v>
      </c>
      <c r="B24" s="1" t="s">
        <v>24</v>
      </c>
      <c r="C24" s="3">
        <f>21811172.37/7.5345</f>
        <v>2894840.0517618954</v>
      </c>
      <c r="D24" s="3">
        <f>2761115+76572+455583</f>
        <v>3293270</v>
      </c>
      <c r="E24" s="3">
        <v>3642891</v>
      </c>
      <c r="F24" s="3">
        <v>3656253</v>
      </c>
      <c r="G24" s="3">
        <v>3672537</v>
      </c>
      <c r="H24"/>
      <c r="I24"/>
      <c r="J24"/>
      <c r="K24"/>
    </row>
    <row r="25" spans="1:12" x14ac:dyDescent="0.25">
      <c r="A25" s="7" t="s">
        <v>14</v>
      </c>
      <c r="B25" s="1" t="s">
        <v>23</v>
      </c>
      <c r="C25" s="3">
        <f>368460.7/7.5345</f>
        <v>48903.138894419004</v>
      </c>
      <c r="D25" s="3">
        <f>53289+13156+7049</f>
        <v>73494</v>
      </c>
      <c r="E25" s="3">
        <v>52377</v>
      </c>
      <c r="F25" s="3">
        <v>57207</v>
      </c>
      <c r="G25" s="3">
        <v>59207</v>
      </c>
      <c r="H25"/>
      <c r="I25"/>
      <c r="J25"/>
      <c r="K25"/>
    </row>
    <row r="26" spans="1:12" x14ac:dyDescent="0.25">
      <c r="A26" s="7" t="s">
        <v>19</v>
      </c>
      <c r="B26" s="1" t="s">
        <v>29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/>
      <c r="I26"/>
      <c r="J26"/>
      <c r="K26"/>
    </row>
    <row r="27" spans="1:12" x14ac:dyDescent="0.25">
      <c r="A27" s="21">
        <v>3</v>
      </c>
      <c r="B27" s="22" t="s">
        <v>46</v>
      </c>
      <c r="C27" s="19">
        <f>C24+C25</f>
        <v>2943743.1906563146</v>
      </c>
      <c r="D27" s="19">
        <f>D24+D25+D26</f>
        <v>3366764</v>
      </c>
      <c r="E27" s="19">
        <f>E24+E25</f>
        <v>3695268</v>
      </c>
      <c r="F27" s="19">
        <f t="shared" ref="F27:G27" si="0">F24+F25</f>
        <v>3713460</v>
      </c>
      <c r="G27" s="19">
        <f t="shared" si="0"/>
        <v>3731744</v>
      </c>
      <c r="H27"/>
      <c r="I27"/>
      <c r="J27"/>
      <c r="K27"/>
    </row>
    <row r="28" spans="1:12" x14ac:dyDescent="0.25">
      <c r="A28" s="8" t="s">
        <v>3</v>
      </c>
      <c r="B28" s="9" t="s">
        <v>4</v>
      </c>
      <c r="C28" s="30"/>
      <c r="D28" s="31"/>
      <c r="E28" s="31"/>
      <c r="F28" s="31"/>
      <c r="G28" s="32"/>
      <c r="H28"/>
      <c r="I28"/>
      <c r="J28"/>
      <c r="K28"/>
    </row>
    <row r="29" spans="1:12" x14ac:dyDescent="0.25">
      <c r="A29" s="11" t="s">
        <v>22</v>
      </c>
      <c r="B29" s="12" t="s">
        <v>0</v>
      </c>
      <c r="C29" s="24">
        <f>2513865.92/7.5345</f>
        <v>333647.34488021763</v>
      </c>
      <c r="D29" s="24">
        <f>320227+85165</f>
        <v>405392</v>
      </c>
      <c r="E29" s="24">
        <v>418601</v>
      </c>
      <c r="F29" s="24">
        <v>418601</v>
      </c>
      <c r="G29" s="24">
        <v>418601</v>
      </c>
      <c r="H29"/>
      <c r="I29" s="23"/>
      <c r="J29"/>
      <c r="K29"/>
    </row>
    <row r="30" spans="1:12" x14ac:dyDescent="0.25">
      <c r="A30" s="7" t="s">
        <v>9</v>
      </c>
      <c r="B30" s="1" t="s">
        <v>24</v>
      </c>
      <c r="C30" s="3">
        <f>507936.82/7.5345</f>
        <v>67414.801247594398</v>
      </c>
      <c r="D30" s="3">
        <f>33700+5561</f>
        <v>39261</v>
      </c>
      <c r="E30" s="3">
        <f>102000+16830</f>
        <v>118830</v>
      </c>
      <c r="F30" s="3">
        <f>102000+16830</f>
        <v>118830</v>
      </c>
      <c r="G30" s="3">
        <f>102000+16830</f>
        <v>118830</v>
      </c>
      <c r="I30" s="10"/>
    </row>
    <row r="31" spans="1:12" x14ac:dyDescent="0.25">
      <c r="A31" s="7" t="s">
        <v>14</v>
      </c>
      <c r="B31" s="1" t="s">
        <v>23</v>
      </c>
      <c r="C31" s="3">
        <f>1948387.37/7.5345</f>
        <v>258595.44362598713</v>
      </c>
      <c r="D31" s="3">
        <f>950+16924+91045+5636+25031+8954+3152+24048+2054+32427+9070+61032+6636+19163+2180+2165+23474+10500+3211+2344+9541+4400</f>
        <v>363937</v>
      </c>
      <c r="E31" s="3">
        <f>32000+50000+21935+119349+3000+1000+16909+2000+35500+15178+500+2400</f>
        <v>299771</v>
      </c>
      <c r="F31" s="3">
        <f t="shared" ref="F31:G31" si="1">32000+50000+21935+119349+3000+1000+16909+2000+35500+15178+500+2400</f>
        <v>299771</v>
      </c>
      <c r="G31" s="3">
        <f t="shared" si="1"/>
        <v>299771</v>
      </c>
      <c r="I31" s="10"/>
    </row>
    <row r="32" spans="1:12" x14ac:dyDescent="0.25">
      <c r="A32" s="7" t="s">
        <v>15</v>
      </c>
      <c r="B32" s="1" t="s">
        <v>25</v>
      </c>
      <c r="C32" s="3">
        <f>32.44/7.5345</f>
        <v>4.3055279049704689</v>
      </c>
      <c r="D32" s="3">
        <f>378+265+53+398</f>
        <v>1094</v>
      </c>
      <c r="E32" s="3">
        <v>0</v>
      </c>
      <c r="F32" s="3">
        <v>0</v>
      </c>
      <c r="G32" s="3">
        <v>0</v>
      </c>
      <c r="I32" s="10"/>
    </row>
    <row r="33" spans="1:9" x14ac:dyDescent="0.25">
      <c r="A33" s="7" t="s">
        <v>16</v>
      </c>
      <c r="B33" s="1" t="s">
        <v>26</v>
      </c>
      <c r="C33" s="3">
        <f>45000/7.5345</f>
        <v>5972.5263786581718</v>
      </c>
      <c r="D33" s="3">
        <v>0</v>
      </c>
      <c r="E33" s="3">
        <v>0</v>
      </c>
      <c r="F33" s="3">
        <v>0</v>
      </c>
      <c r="G33" s="3">
        <v>0</v>
      </c>
    </row>
    <row r="34" spans="1:9" x14ac:dyDescent="0.25">
      <c r="A34" s="7" t="s">
        <v>19</v>
      </c>
      <c r="B34" s="1" t="s">
        <v>29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</row>
    <row r="35" spans="1:9" x14ac:dyDescent="0.25">
      <c r="A35" s="21">
        <v>3</v>
      </c>
      <c r="B35" s="22" t="s">
        <v>46</v>
      </c>
      <c r="C35" s="19">
        <f>C30+C31+C32+C33</f>
        <v>331987.07678014465</v>
      </c>
      <c r="D35" s="19">
        <f>D30+D31+D32+D33+D34</f>
        <v>404292</v>
      </c>
      <c r="E35" s="19">
        <f>E30+E31</f>
        <v>418601</v>
      </c>
      <c r="F35" s="19">
        <f t="shared" ref="F35:G35" si="2">F30+F31</f>
        <v>418601</v>
      </c>
      <c r="G35" s="19">
        <f>G30+G31</f>
        <v>418601</v>
      </c>
    </row>
    <row r="36" spans="1:9" x14ac:dyDescent="0.25">
      <c r="A36" s="7" t="s">
        <v>17</v>
      </c>
      <c r="B36" s="1" t="s">
        <v>30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</row>
    <row r="37" spans="1:9" x14ac:dyDescent="0.25">
      <c r="A37" s="7" t="s">
        <v>18</v>
      </c>
      <c r="B37" s="1" t="s">
        <v>27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</row>
    <row r="38" spans="1:9" x14ac:dyDescent="0.25">
      <c r="A38" s="7" t="s">
        <v>20</v>
      </c>
      <c r="B38" s="1" t="s">
        <v>28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</row>
    <row r="39" spans="1:9" x14ac:dyDescent="0.25">
      <c r="A39" s="21">
        <v>4</v>
      </c>
      <c r="B39" s="22" t="s">
        <v>47</v>
      </c>
      <c r="C39" s="19">
        <v>0</v>
      </c>
      <c r="D39" s="19">
        <f>D36+D37+D38</f>
        <v>0</v>
      </c>
      <c r="E39" s="19">
        <f>E36+E37+E38</f>
        <v>0</v>
      </c>
      <c r="F39" s="19">
        <f t="shared" ref="F39:G39" si="3">F36+F37+F38</f>
        <v>0</v>
      </c>
      <c r="G39" s="19">
        <f t="shared" si="3"/>
        <v>0</v>
      </c>
    </row>
    <row r="40" spans="1:9" ht="22.5" x14ac:dyDescent="0.25">
      <c r="A40" s="8" t="s">
        <v>13</v>
      </c>
      <c r="B40" s="18" t="s">
        <v>43</v>
      </c>
      <c r="C40" s="30"/>
      <c r="D40" s="31"/>
      <c r="E40" s="31"/>
      <c r="F40" s="31"/>
      <c r="G40" s="32"/>
    </row>
    <row r="41" spans="1:9" x14ac:dyDescent="0.25">
      <c r="A41" s="11" t="s">
        <v>9</v>
      </c>
      <c r="B41" s="12" t="s">
        <v>10</v>
      </c>
      <c r="C41" s="24">
        <v>553378.91</v>
      </c>
      <c r="D41" s="24">
        <v>407924</v>
      </c>
      <c r="E41" s="24">
        <f>532400+2000</f>
        <v>534400</v>
      </c>
      <c r="F41" s="24">
        <f>550000+2500</f>
        <v>552500</v>
      </c>
      <c r="G41" s="24">
        <f>550000+2500</f>
        <v>552500</v>
      </c>
    </row>
    <row r="42" spans="1:9" x14ac:dyDescent="0.25">
      <c r="A42" s="7" t="s">
        <v>9</v>
      </c>
      <c r="B42" s="1" t="s">
        <v>24</v>
      </c>
      <c r="C42" s="3">
        <v>324848.56</v>
      </c>
      <c r="D42" s="3">
        <v>325221</v>
      </c>
      <c r="E42" s="3">
        <f>195936+210000+32329</f>
        <v>438265</v>
      </c>
      <c r="F42" s="3">
        <f>170500+130000+28133</f>
        <v>328633</v>
      </c>
      <c r="G42" s="3">
        <f>170500+130000+28133</f>
        <v>328633</v>
      </c>
    </row>
    <row r="43" spans="1:9" x14ac:dyDescent="0.25">
      <c r="A43" s="7" t="s">
        <v>14</v>
      </c>
      <c r="B43" s="1" t="s">
        <v>23</v>
      </c>
      <c r="C43" s="3">
        <v>81010.009999999995</v>
      </c>
      <c r="D43" s="3">
        <v>70227</v>
      </c>
      <c r="E43" s="3">
        <f>5000+5500+5000+10000+1000+2200+1800+27000+2500+10000+1500</f>
        <v>71500</v>
      </c>
      <c r="F43" s="3">
        <f>5000+5500+5000+3000+1000+2200+1800+20000+2500+5000+1500</f>
        <v>52500</v>
      </c>
      <c r="G43" s="3">
        <f>5000+5500+5000+3000+1000+2200+1800+20000+2500+5000+1500</f>
        <v>52500</v>
      </c>
    </row>
    <row r="44" spans="1:9" x14ac:dyDescent="0.25">
      <c r="A44" s="7" t="s">
        <v>15</v>
      </c>
      <c r="B44" s="1" t="s">
        <v>25</v>
      </c>
      <c r="C44" s="3">
        <v>70.42</v>
      </c>
      <c r="D44" s="3">
        <v>531</v>
      </c>
      <c r="E44" s="3">
        <v>0</v>
      </c>
      <c r="F44" s="3">
        <v>0</v>
      </c>
      <c r="G44" s="3">
        <v>0</v>
      </c>
    </row>
    <row r="45" spans="1:9" x14ac:dyDescent="0.25">
      <c r="A45" s="7" t="s">
        <v>16</v>
      </c>
      <c r="B45" s="1" t="s">
        <v>26</v>
      </c>
      <c r="C45" s="3">
        <v>0</v>
      </c>
      <c r="D45" s="3">
        <v>7963</v>
      </c>
      <c r="E45" s="3">
        <v>0</v>
      </c>
      <c r="F45" s="3">
        <v>0</v>
      </c>
      <c r="G45" s="3">
        <v>0</v>
      </c>
    </row>
    <row r="46" spans="1:9" x14ac:dyDescent="0.25">
      <c r="A46" s="7" t="s">
        <v>19</v>
      </c>
      <c r="B46" s="1" t="s">
        <v>29</v>
      </c>
      <c r="C46" s="3">
        <v>5308.91</v>
      </c>
      <c r="D46" s="3">
        <v>3982</v>
      </c>
      <c r="E46" s="3">
        <v>3500</v>
      </c>
      <c r="F46" s="3">
        <v>3500</v>
      </c>
      <c r="G46" s="3">
        <v>3500</v>
      </c>
    </row>
    <row r="47" spans="1:9" x14ac:dyDescent="0.25">
      <c r="A47" s="21">
        <v>3</v>
      </c>
      <c r="B47" s="22" t="s">
        <v>46</v>
      </c>
      <c r="C47" s="19">
        <f>C42+C43+C44+C45+C46</f>
        <v>411237.89999999997</v>
      </c>
      <c r="D47" s="19">
        <f>D42+D43+D44+D45+D46</f>
        <v>407924</v>
      </c>
      <c r="E47" s="19">
        <f>E42+E43+E46</f>
        <v>513265</v>
      </c>
      <c r="F47" s="19">
        <f>F42+F43+F46</f>
        <v>384633</v>
      </c>
      <c r="G47" s="19">
        <f>G42+G43+G46</f>
        <v>384633</v>
      </c>
      <c r="I47" s="10"/>
    </row>
    <row r="48" spans="1:9" x14ac:dyDescent="0.25">
      <c r="A48" s="7" t="s">
        <v>17</v>
      </c>
      <c r="B48" s="1" t="s">
        <v>30</v>
      </c>
      <c r="C48" s="3">
        <v>18377.13</v>
      </c>
      <c r="D48" s="3">
        <v>0</v>
      </c>
      <c r="E48" s="3">
        <v>20000</v>
      </c>
      <c r="F48" s="3">
        <v>0</v>
      </c>
      <c r="G48" s="3">
        <v>0</v>
      </c>
    </row>
    <row r="49" spans="1:7" x14ac:dyDescent="0.25">
      <c r="A49" s="7" t="s">
        <v>18</v>
      </c>
      <c r="B49" s="1" t="s">
        <v>27</v>
      </c>
      <c r="C49" s="3">
        <v>2123.4299999999998</v>
      </c>
      <c r="D49" s="3">
        <v>0</v>
      </c>
      <c r="E49" s="3">
        <f>30000+38750+6000+5620+3300</f>
        <v>83670</v>
      </c>
      <c r="F49" s="3">
        <f>0</f>
        <v>0</v>
      </c>
      <c r="G49" s="3">
        <v>0</v>
      </c>
    </row>
    <row r="50" spans="1:7" x14ac:dyDescent="0.25">
      <c r="A50" s="7" t="s">
        <v>20</v>
      </c>
      <c r="B50" s="1" t="s">
        <v>28</v>
      </c>
      <c r="C50" s="3">
        <v>0</v>
      </c>
      <c r="D50" s="3">
        <v>0</v>
      </c>
      <c r="E50" s="3">
        <v>6000</v>
      </c>
      <c r="F50" s="3">
        <v>0</v>
      </c>
      <c r="G50" s="3">
        <v>0</v>
      </c>
    </row>
    <row r="51" spans="1:7" x14ac:dyDescent="0.25">
      <c r="A51" s="21">
        <v>4</v>
      </c>
      <c r="B51" s="22" t="s">
        <v>47</v>
      </c>
      <c r="C51" s="19">
        <f>C48+C49+C50</f>
        <v>20500.560000000001</v>
      </c>
      <c r="D51" s="19">
        <f>D48+D49+D50</f>
        <v>0</v>
      </c>
      <c r="E51" s="19">
        <f>E48+E49+E50</f>
        <v>109670</v>
      </c>
      <c r="F51" s="19">
        <f t="shared" ref="F51" si="4">F48+F49+F50</f>
        <v>0</v>
      </c>
      <c r="G51" s="19">
        <f t="shared" ref="G51" si="5">G48+G49+G50</f>
        <v>0</v>
      </c>
    </row>
    <row r="52" spans="1:7" x14ac:dyDescent="0.25">
      <c r="A52" s="11">
        <v>43</v>
      </c>
      <c r="B52" s="12" t="s">
        <v>44</v>
      </c>
      <c r="C52" s="24">
        <v>560559.39</v>
      </c>
      <c r="D52" s="24">
        <v>577344</v>
      </c>
      <c r="E52" s="24">
        <v>560559</v>
      </c>
      <c r="F52" s="24">
        <v>570000</v>
      </c>
      <c r="G52" s="24">
        <v>570000</v>
      </c>
    </row>
    <row r="53" spans="1:7" x14ac:dyDescent="0.25">
      <c r="A53" s="7" t="s">
        <v>9</v>
      </c>
      <c r="B53" s="1" t="s">
        <v>24</v>
      </c>
      <c r="C53" s="3">
        <v>274349.90000000002</v>
      </c>
      <c r="D53" s="3">
        <v>202779</v>
      </c>
      <c r="E53" s="3">
        <f>195000+14000+1800+32175</f>
        <v>242975</v>
      </c>
      <c r="F53" s="3">
        <f>155000+9000+1800+25575</f>
        <v>191375</v>
      </c>
      <c r="G53" s="3">
        <f>155000+9000+1600+25575</f>
        <v>191175</v>
      </c>
    </row>
    <row r="54" spans="1:7" x14ac:dyDescent="0.25">
      <c r="A54" s="7" t="s">
        <v>14</v>
      </c>
      <c r="B54" s="1" t="s">
        <v>23</v>
      </c>
      <c r="C54" s="3">
        <v>311918.65000000002</v>
      </c>
      <c r="D54" s="3">
        <v>298795</v>
      </c>
      <c r="E54" s="3">
        <f>18000+1700+500+18175+3250+16250+2500+3125+30114+39625+22563+51658+2000+48750+31250+63625+14380+15375+11591+1500+45000</f>
        <v>440931</v>
      </c>
      <c r="F54" s="3">
        <f>13500+1500+500+12000+2500+14500+1500+1500+24000+32000+18000+46143+1000+32000+26500+55000+10000+13200+8000+1000+39000</f>
        <v>353343</v>
      </c>
      <c r="G54" s="3">
        <f>13500+1500+500+12000+2500+14500+1500+1500+24000+32000+18000+46143+1000+32000+26500+55000+10000+13200+8000+1000+39000</f>
        <v>353343</v>
      </c>
    </row>
    <row r="55" spans="1:7" x14ac:dyDescent="0.25">
      <c r="A55" s="7" t="s">
        <v>15</v>
      </c>
      <c r="B55" s="1" t="s">
        <v>25</v>
      </c>
      <c r="C55" s="3">
        <v>3319.92</v>
      </c>
      <c r="D55" s="3">
        <v>3981</v>
      </c>
      <c r="E55" s="3">
        <f>3732</f>
        <v>3732</v>
      </c>
      <c r="F55" s="3">
        <v>3732</v>
      </c>
      <c r="G55" s="3">
        <v>3732</v>
      </c>
    </row>
    <row r="56" spans="1:7" x14ac:dyDescent="0.25">
      <c r="A56" s="7" t="s">
        <v>16</v>
      </c>
      <c r="B56" s="1" t="s">
        <v>26</v>
      </c>
      <c r="C56" s="3">
        <v>4247.13</v>
      </c>
      <c r="D56" s="3">
        <v>0</v>
      </c>
      <c r="E56" s="3">
        <v>2700</v>
      </c>
      <c r="F56" s="3">
        <v>2000</v>
      </c>
      <c r="G56" s="3">
        <v>2000</v>
      </c>
    </row>
    <row r="57" spans="1:7" x14ac:dyDescent="0.25">
      <c r="A57" s="7" t="s">
        <v>19</v>
      </c>
      <c r="B57" s="1" t="s">
        <v>29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</row>
    <row r="58" spans="1:7" x14ac:dyDescent="0.25">
      <c r="A58" s="21">
        <v>3</v>
      </c>
      <c r="B58" s="22" t="s">
        <v>46</v>
      </c>
      <c r="C58" s="19">
        <f>C53+C54+C55+C56+C57</f>
        <v>593835.60000000009</v>
      </c>
      <c r="D58" s="19">
        <f>D53+D54+D55+D56+D57</f>
        <v>505555</v>
      </c>
      <c r="E58" s="19">
        <f>E53+E54+E55+E56</f>
        <v>690338</v>
      </c>
      <c r="F58" s="19">
        <f>F53+F54+F55+F56</f>
        <v>550450</v>
      </c>
      <c r="G58" s="19">
        <f>G53+G54+G55+G56</f>
        <v>550250</v>
      </c>
    </row>
    <row r="59" spans="1:7" x14ac:dyDescent="0.25">
      <c r="A59" s="7" t="s">
        <v>17</v>
      </c>
      <c r="B59" s="1" t="s">
        <v>30</v>
      </c>
      <c r="C59" s="3">
        <v>29094.63</v>
      </c>
      <c r="D59" s="3">
        <v>1777</v>
      </c>
      <c r="E59" s="3">
        <f>250</f>
        <v>250</v>
      </c>
      <c r="F59" s="3">
        <v>250</v>
      </c>
      <c r="G59" s="3">
        <v>250</v>
      </c>
    </row>
    <row r="60" spans="1:7" x14ac:dyDescent="0.25">
      <c r="A60" s="7" t="s">
        <v>18</v>
      </c>
      <c r="B60" s="1" t="s">
        <v>27</v>
      </c>
      <c r="C60" s="3">
        <v>57578.11</v>
      </c>
      <c r="D60" s="3">
        <v>18581</v>
      </c>
      <c r="E60" s="3">
        <v>8750</v>
      </c>
      <c r="F60" s="3">
        <v>5000</v>
      </c>
      <c r="G60" s="3">
        <v>5000</v>
      </c>
    </row>
    <row r="61" spans="1:7" x14ac:dyDescent="0.25">
      <c r="A61" s="7" t="s">
        <v>20</v>
      </c>
      <c r="B61" s="1" t="s">
        <v>28</v>
      </c>
      <c r="C61" s="3">
        <v>141.02000000000001</v>
      </c>
      <c r="D61" s="3">
        <v>51430</v>
      </c>
      <c r="E61" s="3">
        <f>7375+0+3300+6250+250</f>
        <v>17175</v>
      </c>
      <c r="F61" s="3">
        <f>4000+1000+2500+1500+3000+2250+250</f>
        <v>14500</v>
      </c>
      <c r="G61" s="3">
        <f>4000+1000+2500+1500+3000+2250+250</f>
        <v>14500</v>
      </c>
    </row>
    <row r="62" spans="1:7" x14ac:dyDescent="0.25">
      <c r="A62" s="21">
        <v>4</v>
      </c>
      <c r="B62" s="22" t="s">
        <v>47</v>
      </c>
      <c r="C62" s="19">
        <f>C59+C60+C61</f>
        <v>86813.760000000009</v>
      </c>
      <c r="D62" s="19">
        <f>D59+D60+D61</f>
        <v>71788</v>
      </c>
      <c r="E62" s="19">
        <f>E59+E60+E61</f>
        <v>26175</v>
      </c>
      <c r="F62" s="19">
        <f t="shared" ref="F62" si="6">F59+F60+F61</f>
        <v>19750</v>
      </c>
      <c r="G62" s="19">
        <f>G59+G60+G61</f>
        <v>19750</v>
      </c>
    </row>
    <row r="63" spans="1:7" x14ac:dyDescent="0.25">
      <c r="A63" s="8" t="s">
        <v>11</v>
      </c>
      <c r="B63" s="9" t="s">
        <v>12</v>
      </c>
      <c r="C63" s="3"/>
      <c r="D63" s="3"/>
      <c r="E63" s="3"/>
      <c r="F63" s="3"/>
      <c r="G63" s="3"/>
    </row>
    <row r="64" spans="1:7" x14ac:dyDescent="0.25">
      <c r="A64" s="11">
        <v>52</v>
      </c>
      <c r="B64" s="12" t="s">
        <v>7</v>
      </c>
      <c r="C64" s="13">
        <v>100156.73</v>
      </c>
      <c r="D64" s="24">
        <v>20783</v>
      </c>
      <c r="E64" s="24">
        <v>35416</v>
      </c>
      <c r="F64" s="24">
        <v>43916</v>
      </c>
      <c r="G64" s="24">
        <v>0</v>
      </c>
    </row>
    <row r="65" spans="1:9" x14ac:dyDescent="0.25">
      <c r="A65" s="7" t="s">
        <v>9</v>
      </c>
      <c r="B65" s="1" t="s">
        <v>24</v>
      </c>
      <c r="C65" s="3">
        <v>19032.240000000002</v>
      </c>
      <c r="D65" s="3">
        <v>0</v>
      </c>
      <c r="E65" s="3">
        <v>0</v>
      </c>
      <c r="F65" s="3">
        <v>0</v>
      </c>
      <c r="G65" s="3">
        <v>0</v>
      </c>
    </row>
    <row r="66" spans="1:9" x14ac:dyDescent="0.25">
      <c r="A66" s="7" t="s">
        <v>14</v>
      </c>
      <c r="B66" s="1" t="s">
        <v>23</v>
      </c>
      <c r="C66" s="3">
        <v>127703.5</v>
      </c>
      <c r="D66" s="3">
        <v>16811</v>
      </c>
      <c r="E66" s="3">
        <v>17958</v>
      </c>
      <c r="F66" s="3">
        <f>788+3212+1000+2000+4000+1000</f>
        <v>12000</v>
      </c>
      <c r="G66" s="3">
        <f>5000+2000+4000+1000</f>
        <v>12000</v>
      </c>
    </row>
    <row r="67" spans="1:9" x14ac:dyDescent="0.25">
      <c r="A67" s="7" t="s">
        <v>15</v>
      </c>
      <c r="B67" s="1" t="s">
        <v>25</v>
      </c>
      <c r="C67" s="3">
        <v>440.56</v>
      </c>
      <c r="D67" s="3">
        <v>0</v>
      </c>
      <c r="E67" s="3">
        <v>0</v>
      </c>
      <c r="F67" s="3">
        <v>0</v>
      </c>
      <c r="G67" s="3">
        <v>0</v>
      </c>
    </row>
    <row r="68" spans="1:9" x14ac:dyDescent="0.25">
      <c r="A68" s="21">
        <v>3</v>
      </c>
      <c r="B68" s="22" t="s">
        <v>46</v>
      </c>
      <c r="C68" s="19">
        <f>C65+C66+C67</f>
        <v>147176.29999999999</v>
      </c>
      <c r="D68" s="19">
        <f>D63+D64+D65+D66+D67</f>
        <v>37594</v>
      </c>
      <c r="E68" s="19">
        <f>E66</f>
        <v>17958</v>
      </c>
      <c r="F68" s="19">
        <f t="shared" ref="F68:G68" si="7">F66</f>
        <v>12000</v>
      </c>
      <c r="G68" s="19">
        <f t="shared" si="7"/>
        <v>12000</v>
      </c>
      <c r="I68" s="10"/>
    </row>
    <row r="69" spans="1:9" x14ac:dyDescent="0.25">
      <c r="A69" s="7" t="s">
        <v>18</v>
      </c>
      <c r="B69" s="1" t="s">
        <v>27</v>
      </c>
      <c r="C69" s="3">
        <v>49214.28</v>
      </c>
      <c r="D69" s="3">
        <v>3972</v>
      </c>
      <c r="E69" s="3">
        <v>5000</v>
      </c>
      <c r="F69" s="3">
        <v>3000</v>
      </c>
      <c r="G69" s="3">
        <v>3000</v>
      </c>
    </row>
    <row r="70" spans="1:9" x14ac:dyDescent="0.25">
      <c r="A70" s="21">
        <v>4</v>
      </c>
      <c r="B70" s="22" t="s">
        <v>47</v>
      </c>
      <c r="C70" s="19">
        <f>C69</f>
        <v>49214.28</v>
      </c>
      <c r="D70" s="19">
        <f>D69</f>
        <v>3972</v>
      </c>
      <c r="E70" s="19">
        <f>E69</f>
        <v>5000</v>
      </c>
      <c r="F70" s="19">
        <f t="shared" ref="F70:G70" si="8">F69</f>
        <v>3000</v>
      </c>
      <c r="G70" s="19">
        <f t="shared" si="8"/>
        <v>3000</v>
      </c>
    </row>
    <row r="71" spans="1:9" x14ac:dyDescent="0.25">
      <c r="A71" s="11" t="s">
        <v>33</v>
      </c>
      <c r="B71" s="12" t="s">
        <v>8</v>
      </c>
      <c r="C71" s="24">
        <v>26025.31</v>
      </c>
      <c r="D71" s="24">
        <v>31024</v>
      </c>
      <c r="E71" s="24">
        <v>0</v>
      </c>
      <c r="F71" s="24">
        <v>0</v>
      </c>
      <c r="G71" s="24">
        <v>0</v>
      </c>
    </row>
    <row r="72" spans="1:9" x14ac:dyDescent="0.25">
      <c r="A72" s="7" t="s">
        <v>9</v>
      </c>
      <c r="B72" s="1" t="s">
        <v>24</v>
      </c>
      <c r="C72" s="3">
        <v>8255.18</v>
      </c>
      <c r="D72" s="3">
        <v>11945</v>
      </c>
      <c r="E72" s="3">
        <v>0</v>
      </c>
      <c r="F72" s="3">
        <v>0</v>
      </c>
      <c r="G72" s="3">
        <v>0</v>
      </c>
    </row>
    <row r="73" spans="1:9" x14ac:dyDescent="0.25">
      <c r="A73" s="7" t="s">
        <v>14</v>
      </c>
      <c r="B73" s="1" t="s">
        <v>23</v>
      </c>
      <c r="C73" s="3">
        <v>4112.2</v>
      </c>
      <c r="D73" s="3">
        <v>16426</v>
      </c>
      <c r="E73" s="3">
        <v>0</v>
      </c>
      <c r="F73" s="3">
        <v>0</v>
      </c>
      <c r="G73" s="3">
        <v>0</v>
      </c>
    </row>
    <row r="74" spans="1:9" x14ac:dyDescent="0.25">
      <c r="A74" s="7" t="s">
        <v>15</v>
      </c>
      <c r="B74" s="1" t="s">
        <v>25</v>
      </c>
      <c r="C74" s="3">
        <v>26.69</v>
      </c>
      <c r="D74" s="3">
        <v>0</v>
      </c>
      <c r="E74" s="3">
        <v>0</v>
      </c>
      <c r="F74" s="3">
        <v>0</v>
      </c>
      <c r="G74" s="3">
        <v>0</v>
      </c>
    </row>
    <row r="75" spans="1:9" x14ac:dyDescent="0.25">
      <c r="A75" s="21">
        <v>3</v>
      </c>
      <c r="B75" s="22" t="s">
        <v>46</v>
      </c>
      <c r="C75" s="19">
        <f>C72+C73+C74</f>
        <v>12394.070000000002</v>
      </c>
      <c r="D75" s="19">
        <f>D72+D73</f>
        <v>28371</v>
      </c>
      <c r="E75" s="19">
        <v>0</v>
      </c>
      <c r="F75" s="19">
        <v>0</v>
      </c>
      <c r="G75" s="19">
        <v>0</v>
      </c>
    </row>
    <row r="76" spans="1:9" x14ac:dyDescent="0.25">
      <c r="A76" s="7" t="s">
        <v>17</v>
      </c>
      <c r="B76" s="1" t="s">
        <v>30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</row>
    <row r="77" spans="1:9" x14ac:dyDescent="0.25">
      <c r="A77" s="7" t="s">
        <v>18</v>
      </c>
      <c r="B77" s="1" t="s">
        <v>27</v>
      </c>
      <c r="C77" s="3">
        <v>0</v>
      </c>
      <c r="D77" s="3">
        <v>2654</v>
      </c>
      <c r="E77" s="3">
        <v>0</v>
      </c>
      <c r="F77" s="3">
        <v>0</v>
      </c>
      <c r="G77" s="3">
        <v>0</v>
      </c>
    </row>
    <row r="78" spans="1:9" x14ac:dyDescent="0.25">
      <c r="A78" s="7" t="s">
        <v>20</v>
      </c>
      <c r="B78" s="1" t="s">
        <v>28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</row>
    <row r="79" spans="1:9" x14ac:dyDescent="0.25">
      <c r="A79" s="21">
        <v>4</v>
      </c>
      <c r="B79" s="22" t="s">
        <v>47</v>
      </c>
      <c r="C79" s="19">
        <f>C76+C77+C78</f>
        <v>0</v>
      </c>
      <c r="D79" s="19">
        <f>D76+D77+D78</f>
        <v>2654</v>
      </c>
      <c r="E79" s="19">
        <f>E76+E77+E78</f>
        <v>0</v>
      </c>
      <c r="F79" s="19">
        <f t="shared" ref="F79" si="9">F76+F77+F78</f>
        <v>0</v>
      </c>
      <c r="G79" s="19">
        <f t="shared" ref="G79" si="10">G76+G77+G78</f>
        <v>0</v>
      </c>
    </row>
  </sheetData>
  <sortState ref="D59:G62">
    <sortCondition ref="G61"/>
  </sortState>
  <mergeCells count="6">
    <mergeCell ref="B6:F6"/>
    <mergeCell ref="B7:F7"/>
    <mergeCell ref="C40:G40"/>
    <mergeCell ref="C28:G28"/>
    <mergeCell ref="C22:G22"/>
    <mergeCell ref="C21:G21"/>
  </mergeCells>
  <pageMargins left="0.31496062992125984" right="0.31496062992125984" top="0.27559055118110237" bottom="0.27559055118110237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PREDLOŽAK</vt:lpstr>
      <vt:lpstr>PREDLOŽAK!Print_Titles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Ana Borzić</cp:lastModifiedBy>
  <cp:lastPrinted>2023-12-08T10:55:18Z</cp:lastPrinted>
  <dcterms:created xsi:type="dcterms:W3CDTF">2022-10-31T10:11:38Z</dcterms:created>
  <dcterms:modified xsi:type="dcterms:W3CDTF">2023-12-08T10:59:32Z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